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360" windowWidth="24240" windowHeight="13440"/>
  </bookViews>
  <sheets>
    <sheet name="фин.отчет" sheetId="1" r:id="rId1"/>
    <sheet name="Лист1" sheetId="2" r:id="rId2"/>
    <sheet name="Лист2" sheetId="3" r:id="rId3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E44" i="1"/>
  <c r="E47" i="1" l="1"/>
  <c r="F9" i="1"/>
  <c r="F47" i="1"/>
  <c r="F69" i="1" l="1"/>
  <c r="F58" i="1"/>
  <c r="F51" i="1"/>
  <c r="F54" i="1"/>
  <c r="F44" i="1"/>
  <c r="F78" i="1" l="1"/>
  <c r="F2" i="1"/>
  <c r="E2" i="1" l="1"/>
  <c r="F40" i="1"/>
  <c r="E40" i="1"/>
  <c r="E78" i="1" l="1"/>
  <c r="D52" i="1" l="1"/>
  <c r="D46" i="1"/>
  <c r="D65" i="1"/>
  <c r="D77" i="1"/>
  <c r="D67" i="1"/>
  <c r="D62" i="1"/>
  <c r="D61" i="1"/>
  <c r="D59" i="1"/>
  <c r="D57" i="1"/>
  <c r="D55" i="1"/>
  <c r="D54" i="1"/>
  <c r="D49" i="1"/>
  <c r="D47" i="1"/>
  <c r="D39" i="1"/>
  <c r="D38" i="1"/>
  <c r="D37" i="1"/>
  <c r="D36" i="1"/>
  <c r="D33" i="1"/>
  <c r="D31" i="1"/>
  <c r="D26" i="1"/>
  <c r="C26" i="1"/>
  <c r="D18" i="1"/>
  <c r="D19" i="1"/>
  <c r="D17" i="1"/>
  <c r="C8" i="1"/>
  <c r="D40" i="1" l="1"/>
  <c r="D44" i="1"/>
  <c r="D78" i="1"/>
  <c r="D8" i="1"/>
  <c r="D7" i="1"/>
  <c r="D6" i="1"/>
  <c r="D5" i="1"/>
  <c r="D4" i="1"/>
  <c r="D3" i="1" l="1"/>
  <c r="D2" i="1" s="1"/>
  <c r="C67" i="1" l="1"/>
  <c r="C72" i="1"/>
  <c r="C15" i="1"/>
  <c r="C9" i="1" s="1"/>
  <c r="C64" i="1"/>
  <c r="C62" i="1"/>
  <c r="C61" i="1"/>
  <c r="C56" i="1"/>
  <c r="C55" i="1"/>
  <c r="C36" i="1" l="1"/>
  <c r="C40" i="1" s="1"/>
  <c r="C54" i="1"/>
  <c r="C51" i="1"/>
  <c r="C46" i="1"/>
  <c r="C47" i="1"/>
  <c r="C49" i="1"/>
  <c r="C33" i="1"/>
  <c r="C31" i="1"/>
  <c r="C25" i="1"/>
  <c r="C18" i="1"/>
  <c r="C19" i="1"/>
  <c r="C3" i="1"/>
  <c r="C5" i="1"/>
  <c r="C4" i="1"/>
  <c r="C6" i="1"/>
  <c r="C7" i="1"/>
  <c r="C2" i="1" l="1"/>
  <c r="C20" i="1" s="1"/>
  <c r="C78" i="1"/>
  <c r="B26" i="1"/>
  <c r="B42" i="1"/>
  <c r="B46" i="1"/>
  <c r="B3" i="1"/>
  <c r="B4" i="1"/>
  <c r="B5" i="1"/>
  <c r="B6" i="1"/>
  <c r="B7" i="1"/>
  <c r="B28" i="1"/>
  <c r="B30" i="1"/>
  <c r="B18" i="1"/>
  <c r="B56" i="1"/>
  <c r="B67" i="1"/>
  <c r="B72" i="1"/>
  <c r="B65" i="1"/>
  <c r="B71" i="1"/>
  <c r="B61" i="1"/>
  <c r="B62" i="1"/>
  <c r="B54" i="1"/>
  <c r="B19" i="1"/>
  <c r="B33" i="1"/>
  <c r="B31" i="1"/>
  <c r="B32" i="1"/>
  <c r="B49" i="1"/>
  <c r="B47" i="1"/>
  <c r="B8" i="1"/>
  <c r="D9" i="1"/>
  <c r="D20" i="1" s="1"/>
  <c r="E9" i="1"/>
  <c r="B9" i="1"/>
  <c r="B40" i="1"/>
  <c r="B44" i="1"/>
  <c r="C44" i="1"/>
  <c r="C22" i="1"/>
  <c r="C34" i="1" s="1"/>
  <c r="D22" i="1"/>
  <c r="D34" i="1" s="1"/>
  <c r="E22" i="1"/>
  <c r="E34" i="1" s="1"/>
  <c r="F22" i="1"/>
  <c r="F34" i="1" s="1"/>
  <c r="B2" i="1" l="1"/>
  <c r="B20" i="1" s="1"/>
  <c r="B78" i="1"/>
  <c r="C42" i="1" s="1"/>
  <c r="D42" i="1" s="1"/>
  <c r="B22" i="1"/>
  <c r="B34" i="1" s="1"/>
  <c r="E42" i="1" l="1"/>
  <c r="F42" i="1" s="1"/>
  <c r="E8" i="1" l="1"/>
  <c r="E20" i="1" s="1"/>
  <c r="F8" i="1"/>
  <c r="F20" i="1" s="1"/>
</calcChain>
</file>

<file path=xl/sharedStrings.xml><?xml version="1.0" encoding="utf-8"?>
<sst xmlns="http://schemas.openxmlformats.org/spreadsheetml/2006/main" count="93" uniqueCount="75">
  <si>
    <t>Выручка</t>
  </si>
  <si>
    <t>январь</t>
  </si>
  <si>
    <t>февраль</t>
  </si>
  <si>
    <t>март</t>
  </si>
  <si>
    <t>Оплата за следующие месяца</t>
  </si>
  <si>
    <t>Расход</t>
  </si>
  <si>
    <t>Банковские услуги</t>
  </si>
  <si>
    <t>Вывоз мусора</t>
  </si>
  <si>
    <t>Оплата за электроэнергию ОАО "Мосэнергосбыт"</t>
  </si>
  <si>
    <t>Оплата земельного налога</t>
  </si>
  <si>
    <t>Оплата служебного телефона</t>
  </si>
  <si>
    <t>Оплата налога при применении УСН</t>
  </si>
  <si>
    <t>Налоги с ФОТ (ПФР, ФСС, НДФЛ)</t>
  </si>
  <si>
    <t>Ликвидация аварийной ситуации</t>
  </si>
  <si>
    <t>Итого:</t>
  </si>
  <si>
    <t>АКТИВЫ</t>
  </si>
  <si>
    <t>Задолженность собственников, ИТОГО: (в том числе:)</t>
  </si>
  <si>
    <t>ИТОГО АКТИВЫ:</t>
  </si>
  <si>
    <t>Авансы поставщикам, в т.ч.:</t>
  </si>
  <si>
    <t>ПАССИВЫ:</t>
  </si>
  <si>
    <t>Задолженность поставщикам, в том числе:</t>
  </si>
  <si>
    <t>КХ МАПТО, уборка территории</t>
  </si>
  <si>
    <t>Склад</t>
  </si>
  <si>
    <t>Задолженность по ЗП сотрудников:</t>
  </si>
  <si>
    <t>Авансы собственников:</t>
  </si>
  <si>
    <t>Задолженность по налогам:</t>
  </si>
  <si>
    <t>Поступило всего, в том числе:</t>
  </si>
  <si>
    <t>За текущий месяц</t>
  </si>
  <si>
    <t>Просроченная задолженность</t>
  </si>
  <si>
    <t>Прочие поступления</t>
  </si>
  <si>
    <t>Остаток на 1 число</t>
  </si>
  <si>
    <t>Ремонтные работы в поселке</t>
  </si>
  <si>
    <t>Дорожные работы в поселке</t>
  </si>
  <si>
    <t>Покупка оборудования и инструмента</t>
  </si>
  <si>
    <t>Проведение праздников</t>
  </si>
  <si>
    <t>Оформление лицензий и разрешений</t>
  </si>
  <si>
    <t>Движение денежных средств</t>
  </si>
  <si>
    <t>Задолженность членов ДНП за текущий месяц:</t>
  </si>
  <si>
    <t>Задолженность по индивидуальным договорам:</t>
  </si>
  <si>
    <t>Задолженность по электроэнергии:</t>
  </si>
  <si>
    <t>Мосэнерго</t>
  </si>
  <si>
    <t>Основные средства</t>
  </si>
  <si>
    <t>Бюджет Доходная часть</t>
  </si>
  <si>
    <t>Члены ДНП</t>
  </si>
  <si>
    <t>Индивидуальные договора</t>
  </si>
  <si>
    <t>Оплата за электроэнергию</t>
  </si>
  <si>
    <t>ИТОГО Доходная часть:</t>
  </si>
  <si>
    <t>ноябрь</t>
  </si>
  <si>
    <t>декабрь</t>
  </si>
  <si>
    <t>Госэкспертиза</t>
  </si>
  <si>
    <t>Теплогазсервиспроект</t>
  </si>
  <si>
    <t>ССМУ-51</t>
  </si>
  <si>
    <t>Формула безопасности</t>
  </si>
  <si>
    <t>УФК МВД</t>
  </si>
  <si>
    <t>Оплата зарплата сотрудников</t>
  </si>
  <si>
    <t>Обслуживание КТПН и электросетей</t>
  </si>
  <si>
    <t>Обслуживание газопровода</t>
  </si>
  <si>
    <t>Задолженность членов ДНП просроченная за предыдущие месяца</t>
  </si>
  <si>
    <t>Задолженность просроченная по договору цессии</t>
  </si>
  <si>
    <t>ОП Формула безопасности (обслуживание тревожной кнопки)</t>
  </si>
  <si>
    <t>УФК МВД (вневедомственная охрана)</t>
  </si>
  <si>
    <t>Оформление лицензии на воду</t>
  </si>
  <si>
    <t>Агентское вознаграждение по терминалу</t>
  </si>
  <si>
    <t>Предоплата за ремонт скважины ВЗУ</t>
  </si>
  <si>
    <t>Офисные расходы (канцтовары, туал.кабинки прочистка, прод.элект.отчетности)</t>
  </si>
  <si>
    <t>КХ МАПТОдоп.работы</t>
  </si>
  <si>
    <t>Комплексные очистные сооружения (КОС) содержание и ремонт</t>
  </si>
  <si>
    <t>Водозаборный узел (ВЗУ)</t>
  </si>
  <si>
    <t>Прочие расходы</t>
  </si>
  <si>
    <t>Покупка хоз.товаров и оргтехники</t>
  </si>
  <si>
    <t>Благоустройство поселка</t>
  </si>
  <si>
    <t>Аренда помещения под собрание</t>
  </si>
  <si>
    <t>Остатки на последнее число месяца на счетах/касса:</t>
  </si>
  <si>
    <t>Крестьянское хозяйство "МАПТО"  уборка территории ДНП</t>
  </si>
  <si>
    <t>Аренда помещения под собрание (в том числе аванс за собрание в мае)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</si>
</sst>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204"/>
    </font>
    <font>
      <sz val="8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i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4" fillId="0" borderId="1" xfId="0" applyFont="1" applyBorder="1"/>
    <xf numFmtId="4" fontId="5" fillId="2" borderId="1" xfId="1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5" fillId="2" borderId="1" xfId="1" applyNumberFormat="1" applyFont="1" applyFill="1" applyBorder="1" applyAlignment="1">
      <alignment horizontal="right" vertical="top"/>
    </xf>
    <xf numFmtId="2" fontId="3" fillId="0" borderId="3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8" fillId="0" borderId="1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4" xfId="0" applyFont="1" applyBorder="1"/>
    <xf numFmtId="4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10" xfId="0" applyFont="1" applyBorder="1" applyAlignment="1">
      <alignment horizontal="center"/>
    </xf>
    <xf numFmtId="0" fontId="3" fillId="0" borderId="4" xfId="0" applyFont="1" applyBorder="1"/>
    <xf numFmtId="4" fontId="3" fillId="3" borderId="1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2" fontId="3" fillId="0" borderId="4" xfId="1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" fontId="4" fillId="2" borderId="2" xfId="1" applyNumberFormat="1" applyFont="1" applyFill="1" applyBorder="1" applyAlignment="1">
      <alignment horizontal="right" vertical="top"/>
    </xf>
    <xf numFmtId="2" fontId="4" fillId="2" borderId="2" xfId="1" applyNumberFormat="1" applyFont="1" applyFill="1" applyBorder="1" applyAlignment="1">
      <alignment horizontal="right" vertical="top"/>
    </xf>
    <xf numFmtId="4" fontId="4" fillId="2" borderId="6" xfId="1" applyNumberFormat="1" applyFont="1" applyFill="1" applyBorder="1" applyAlignment="1">
      <alignment horizontal="right" vertical="top"/>
    </xf>
    <xf numFmtId="4" fontId="3" fillId="2" borderId="4" xfId="1" applyNumberFormat="1" applyFont="1" applyFill="1" applyBorder="1" applyAlignment="1">
      <alignment horizontal="right" vertical="top"/>
    </xf>
    <xf numFmtId="2" fontId="3" fillId="2" borderId="4" xfId="1" applyNumberFormat="1" applyFont="1" applyFill="1" applyBorder="1" applyAlignment="1">
      <alignment horizontal="right" vertical="top"/>
    </xf>
    <xf numFmtId="4" fontId="3" fillId="0" borderId="4" xfId="0" applyNumberFormat="1" applyFont="1" applyBorder="1" applyAlignment="1">
      <alignment horizontal="right"/>
    </xf>
    <xf numFmtId="4" fontId="3" fillId="2" borderId="1" xfId="1" applyNumberFormat="1" applyFont="1" applyFill="1" applyBorder="1" applyAlignment="1">
      <alignment horizontal="right" vertical="top"/>
    </xf>
    <xf numFmtId="2" fontId="3" fillId="2" borderId="1" xfId="1" applyNumberFormat="1" applyFont="1" applyFill="1" applyBorder="1" applyAlignment="1">
      <alignment horizontal="right" vertical="top"/>
    </xf>
    <xf numFmtId="4" fontId="4" fillId="2" borderId="1" xfId="1" applyNumberFormat="1" applyFont="1" applyFill="1" applyBorder="1" applyAlignment="1">
      <alignment horizontal="right" vertical="top"/>
    </xf>
    <xf numFmtId="2" fontId="4" fillId="2" borderId="1" xfId="1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/>
    </xf>
    <xf numFmtId="2" fontId="8" fillId="3" borderId="5" xfId="0" applyNumberFormat="1" applyFont="1" applyFill="1" applyBorder="1" applyAlignment="1">
      <alignment horizontal="right"/>
    </xf>
    <xf numFmtId="4" fontId="8" fillId="3" borderId="7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4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right"/>
    </xf>
    <xf numFmtId="4" fontId="4" fillId="3" borderId="9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3" borderId="5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8" xfId="0" applyFont="1" applyFill="1" applyBorder="1"/>
    <xf numFmtId="0" fontId="3" fillId="0" borderId="2" xfId="0" applyFont="1" applyBorder="1"/>
    <xf numFmtId="2" fontId="8" fillId="0" borderId="1" xfId="0" applyNumberFormat="1" applyFont="1" applyBorder="1" applyAlignment="1">
      <alignment horizontal="right"/>
    </xf>
  </cellXfs>
  <cellStyles count="14">
    <cellStyle name="TableStyleLight1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1035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1033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3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5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704850</xdr:colOff>
      <xdr:row>71</xdr:row>
      <xdr:rowOff>0</xdr:rowOff>
    </xdr:to>
    <xdr:sp macro="" textlink="">
      <xdr:nvSpPr>
        <xdr:cNvPr id="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65</xdr:row>
      <xdr:rowOff>38100</xdr:rowOff>
    </xdr:to>
    <xdr:sp macro="" textlink="">
      <xdr:nvSpPr>
        <xdr:cNvPr id="1025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pane xSplit="1" topLeftCell="B1" activePane="topRight" state="frozen"/>
      <selection pane="topRight" activeCell="F8" sqref="F8"/>
    </sheetView>
  </sheetViews>
  <sheetFormatPr defaultColWidth="8.85546875" defaultRowHeight="15" x14ac:dyDescent="0.25"/>
  <cols>
    <col min="1" max="1" width="72.28515625" style="2" customWidth="1"/>
    <col min="2" max="2" width="12.42578125" style="59" customWidth="1"/>
    <col min="3" max="3" width="13.42578125" style="59" customWidth="1"/>
    <col min="4" max="4" width="12.5703125" style="59" customWidth="1"/>
    <col min="5" max="5" width="12" style="60" customWidth="1"/>
    <col min="6" max="6" width="12.85546875" style="59" bestFit="1" customWidth="1"/>
    <col min="7" max="16384" width="8.85546875" style="1"/>
  </cols>
  <sheetData>
    <row r="1" spans="1:6" ht="15" customHeight="1" thickBot="1" x14ac:dyDescent="0.3">
      <c r="A1" s="62" t="s">
        <v>15</v>
      </c>
      <c r="B1" s="27" t="s">
        <v>47</v>
      </c>
      <c r="C1" s="27" t="s">
        <v>48</v>
      </c>
      <c r="D1" s="27" t="s">
        <v>1</v>
      </c>
      <c r="E1" s="28" t="s">
        <v>2</v>
      </c>
      <c r="F1" s="29" t="s">
        <v>3</v>
      </c>
    </row>
    <row r="2" spans="1:6" ht="15" customHeight="1" x14ac:dyDescent="0.25">
      <c r="A2" s="17" t="s">
        <v>16</v>
      </c>
      <c r="B2" s="18">
        <f>SUM(B3:B7)</f>
        <v>9685288.6899999995</v>
      </c>
      <c r="C2" s="18">
        <f>SUM(C3:C7)</f>
        <v>9490638.8599999994</v>
      </c>
      <c r="D2" s="18">
        <f>SUM(D3:D7)</f>
        <v>9697030.379999999</v>
      </c>
      <c r="E2" s="19">
        <f>SUM(E3:E7)</f>
        <v>9872738.959999999</v>
      </c>
      <c r="F2" s="19">
        <f>SUM(F3:F7)</f>
        <v>9675527.1499999985</v>
      </c>
    </row>
    <row r="3" spans="1:6" ht="15" customHeight="1" x14ac:dyDescent="0.25">
      <c r="A3" s="15" t="s">
        <v>58</v>
      </c>
      <c r="B3" s="9">
        <f>7488083</f>
        <v>7488083</v>
      </c>
      <c r="C3" s="9">
        <f>7488083</f>
        <v>7488083</v>
      </c>
      <c r="D3" s="9">
        <f>7488083</f>
        <v>7488083</v>
      </c>
      <c r="E3" s="9">
        <v>7400763</v>
      </c>
      <c r="F3" s="9">
        <f>E3-F45</f>
        <v>7374148</v>
      </c>
    </row>
    <row r="4" spans="1:6" ht="15" customHeight="1" x14ac:dyDescent="0.25">
      <c r="A4" s="3" t="s">
        <v>37</v>
      </c>
      <c r="B4" s="8">
        <f>697539.6</f>
        <v>697539.6</v>
      </c>
      <c r="C4" s="8">
        <f>720561</f>
        <v>720561</v>
      </c>
      <c r="D4" s="9">
        <f>763738.6</f>
        <v>763738.6</v>
      </c>
      <c r="E4" s="9">
        <v>987815.47</v>
      </c>
      <c r="F4" s="9">
        <v>648537.68000000005</v>
      </c>
    </row>
    <row r="5" spans="1:6" ht="15" customHeight="1" x14ac:dyDescent="0.25">
      <c r="A5" s="3" t="s">
        <v>57</v>
      </c>
      <c r="B5" s="8">
        <f>877675.64-55935</f>
        <v>821740.64</v>
      </c>
      <c r="C5" s="8">
        <f>643407.94</f>
        <v>643407.93999999994</v>
      </c>
      <c r="D5" s="9">
        <f>414432.6</f>
        <v>414432.6</v>
      </c>
      <c r="E5" s="9">
        <v>562451</v>
      </c>
      <c r="F5" s="9">
        <v>684980.04</v>
      </c>
    </row>
    <row r="6" spans="1:6" ht="15" customHeight="1" x14ac:dyDescent="0.25">
      <c r="A6" s="3" t="s">
        <v>38</v>
      </c>
      <c r="B6" s="8">
        <f>392143</f>
        <v>392143</v>
      </c>
      <c r="C6" s="8">
        <f>431756</f>
        <v>431756</v>
      </c>
      <c r="D6" s="9">
        <f>423453</f>
        <v>423453</v>
      </c>
      <c r="E6" s="9">
        <v>299040</v>
      </c>
      <c r="F6" s="9">
        <v>533690</v>
      </c>
    </row>
    <row r="7" spans="1:6" ht="15" customHeight="1" x14ac:dyDescent="0.25">
      <c r="A7" s="3" t="s">
        <v>39</v>
      </c>
      <c r="B7" s="8">
        <f>285782.45</f>
        <v>285782.45</v>
      </c>
      <c r="C7" s="8">
        <f>206830.92</f>
        <v>206830.92</v>
      </c>
      <c r="D7" s="9">
        <f>607323.18</f>
        <v>607323.18000000005</v>
      </c>
      <c r="E7" s="9">
        <v>622669.49</v>
      </c>
      <c r="F7" s="9">
        <v>434171.43</v>
      </c>
    </row>
    <row r="8" spans="1:6" ht="15" customHeight="1" x14ac:dyDescent="0.25">
      <c r="A8" s="6" t="s">
        <v>72</v>
      </c>
      <c r="B8" s="10">
        <f>4799757.62</f>
        <v>4799757.62</v>
      </c>
      <c r="C8" s="10">
        <f>5143846.48</f>
        <v>5143846.4800000004</v>
      </c>
      <c r="D8" s="10">
        <f>4692620+867486.42</f>
        <v>5560106.4199999999</v>
      </c>
      <c r="E8" s="10">
        <f>F42</f>
        <v>6085334.7800000012</v>
      </c>
      <c r="F8" s="10">
        <f>F42+F44-F78</f>
        <v>6848207.7100000009</v>
      </c>
    </row>
    <row r="9" spans="1:6" ht="15" customHeight="1" x14ac:dyDescent="0.25">
      <c r="A9" s="6" t="s">
        <v>18</v>
      </c>
      <c r="B9" s="10">
        <f>SUM(B11:B17)</f>
        <v>10000</v>
      </c>
      <c r="C9" s="10">
        <f>SUM(C11:C17)</f>
        <v>480957.5</v>
      </c>
      <c r="D9" s="10">
        <f t="shared" ref="D9:F9" si="0">SUM(D11:D17)</f>
        <v>60000</v>
      </c>
      <c r="E9" s="16">
        <f t="shared" si="0"/>
        <v>406879</v>
      </c>
      <c r="F9" s="10">
        <f>SUM(F10:F17)</f>
        <v>13000</v>
      </c>
    </row>
    <row r="10" spans="1:6" ht="15" customHeight="1" x14ac:dyDescent="0.25">
      <c r="A10" s="3" t="s">
        <v>71</v>
      </c>
      <c r="B10" s="10"/>
      <c r="C10" s="10"/>
      <c r="D10" s="10"/>
      <c r="E10" s="16"/>
      <c r="F10" s="9">
        <v>13000</v>
      </c>
    </row>
    <row r="11" spans="1:6" ht="15" customHeight="1" x14ac:dyDescent="0.25">
      <c r="A11" s="3" t="s">
        <v>49</v>
      </c>
      <c r="B11" s="8">
        <v>10000</v>
      </c>
      <c r="C11" s="8"/>
      <c r="D11" s="8"/>
      <c r="E11" s="11"/>
      <c r="F11" s="8"/>
    </row>
    <row r="12" spans="1:6" ht="15" customHeight="1" x14ac:dyDescent="0.25">
      <c r="A12" s="3" t="s">
        <v>21</v>
      </c>
      <c r="B12" s="8"/>
      <c r="C12" s="8">
        <v>420000</v>
      </c>
      <c r="D12" s="8"/>
      <c r="E12" s="11"/>
      <c r="F12" s="8"/>
    </row>
    <row r="13" spans="1:6" x14ac:dyDescent="0.25">
      <c r="A13" s="3" t="s">
        <v>56</v>
      </c>
      <c r="B13" s="8"/>
      <c r="C13" s="8">
        <v>17000</v>
      </c>
      <c r="D13" s="8"/>
      <c r="E13" s="11"/>
      <c r="F13" s="8"/>
    </row>
    <row r="14" spans="1:6" ht="15" customHeight="1" x14ac:dyDescent="0.25">
      <c r="A14" s="4" t="s">
        <v>59</v>
      </c>
      <c r="B14" s="8"/>
      <c r="C14" s="8">
        <v>3300</v>
      </c>
      <c r="D14" s="8"/>
      <c r="E14" s="11"/>
      <c r="F14" s="8"/>
    </row>
    <row r="15" spans="1:6" x14ac:dyDescent="0.25">
      <c r="A15" s="4" t="s">
        <v>60</v>
      </c>
      <c r="B15" s="8"/>
      <c r="C15" s="8">
        <f>6657.5</f>
        <v>6657.5</v>
      </c>
      <c r="D15" s="8"/>
      <c r="E15" s="11"/>
      <c r="F15" s="8"/>
    </row>
    <row r="16" spans="1:6" ht="15" customHeight="1" x14ac:dyDescent="0.25">
      <c r="A16" s="3" t="s">
        <v>61</v>
      </c>
      <c r="B16" s="8"/>
      <c r="C16" s="8">
        <v>34000</v>
      </c>
      <c r="D16" s="8"/>
      <c r="E16" s="11">
        <v>406879</v>
      </c>
      <c r="F16" s="8"/>
    </row>
    <row r="17" spans="1:6" x14ac:dyDescent="0.25">
      <c r="A17" s="4" t="s">
        <v>63</v>
      </c>
      <c r="B17" s="8"/>
      <c r="C17" s="8"/>
      <c r="D17" s="8">
        <f>60000</f>
        <v>60000</v>
      </c>
      <c r="E17" s="11"/>
      <c r="F17" s="8"/>
    </row>
    <row r="18" spans="1:6" ht="15" customHeight="1" x14ac:dyDescent="0.25">
      <c r="A18" s="6" t="s">
        <v>22</v>
      </c>
      <c r="B18" s="10">
        <f>497500</f>
        <v>497500</v>
      </c>
      <c r="C18" s="10">
        <f>509106.31</f>
        <v>509106.31</v>
      </c>
      <c r="D18" s="10">
        <f>545446.13</f>
        <v>545446.13</v>
      </c>
      <c r="E18" s="10">
        <v>243000</v>
      </c>
      <c r="F18" s="10">
        <v>297423</v>
      </c>
    </row>
    <row r="19" spans="1:6" ht="15" customHeight="1" thickBot="1" x14ac:dyDescent="0.3">
      <c r="A19" s="20" t="s">
        <v>41</v>
      </c>
      <c r="B19" s="30">
        <f>751773</f>
        <v>751773</v>
      </c>
      <c r="C19" s="30">
        <f>751773</f>
        <v>751773</v>
      </c>
      <c r="D19" s="30">
        <f>751773+43988</f>
        <v>795761</v>
      </c>
      <c r="E19" s="31">
        <v>783632</v>
      </c>
      <c r="F19" s="30">
        <v>783632</v>
      </c>
    </row>
    <row r="20" spans="1:6" ht="15.75" thickBot="1" x14ac:dyDescent="0.3">
      <c r="A20" s="63" t="s">
        <v>17</v>
      </c>
      <c r="B20" s="32">
        <f>B2+B8+B9+B18+B19</f>
        <v>15744319.309999999</v>
      </c>
      <c r="C20" s="32">
        <f>C2+C8+C9+C18+C19</f>
        <v>16376322.15</v>
      </c>
      <c r="D20" s="32">
        <f>D2+D8+D9+D18+D19</f>
        <v>16658343.93</v>
      </c>
      <c r="E20" s="33">
        <f>E2+E8+E9+E18+E19</f>
        <v>17391584.740000002</v>
      </c>
      <c r="F20" s="34">
        <f>F2+F8+F9+F18+F19</f>
        <v>17617789.859999999</v>
      </c>
    </row>
    <row r="21" spans="1:6" ht="15" customHeight="1" thickBot="1" x14ac:dyDescent="0.3">
      <c r="A21" s="21" t="s">
        <v>19</v>
      </c>
      <c r="B21" s="35"/>
      <c r="C21" s="35"/>
      <c r="D21" s="35"/>
      <c r="E21" s="36"/>
      <c r="F21" s="35"/>
    </row>
    <row r="22" spans="1:6" ht="15" customHeight="1" thickBot="1" x14ac:dyDescent="0.3">
      <c r="A22" s="64" t="s">
        <v>20</v>
      </c>
      <c r="B22" s="37">
        <f>SUM(B23:B30)</f>
        <v>1214977.96</v>
      </c>
      <c r="C22" s="37">
        <f t="shared" ref="C22:F22" si="1">SUM(C23:C30)</f>
        <v>814257.02</v>
      </c>
      <c r="D22" s="37">
        <f t="shared" si="1"/>
        <v>1218024</v>
      </c>
      <c r="E22" s="38">
        <f t="shared" si="1"/>
        <v>1366205.0499999998</v>
      </c>
      <c r="F22" s="39">
        <f t="shared" si="1"/>
        <v>1018526.83</v>
      </c>
    </row>
    <row r="23" spans="1:6" ht="15" customHeight="1" x14ac:dyDescent="0.25">
      <c r="A23" s="22" t="s">
        <v>21</v>
      </c>
      <c r="B23" s="40">
        <v>420000</v>
      </c>
      <c r="C23" s="40"/>
      <c r="D23" s="40">
        <v>420000</v>
      </c>
      <c r="E23" s="41">
        <v>420000</v>
      </c>
      <c r="F23" s="42">
        <v>420000</v>
      </c>
    </row>
    <row r="24" spans="1:6" ht="15" customHeight="1" x14ac:dyDescent="0.25">
      <c r="A24" s="3" t="s">
        <v>65</v>
      </c>
      <c r="B24" s="43"/>
      <c r="C24" s="43"/>
      <c r="D24" s="43"/>
      <c r="E24" s="44">
        <v>10000</v>
      </c>
      <c r="F24" s="8"/>
    </row>
    <row r="25" spans="1:6" ht="15" customHeight="1" x14ac:dyDescent="0.25">
      <c r="A25" s="3" t="s">
        <v>7</v>
      </c>
      <c r="B25" s="43">
        <v>96000</v>
      </c>
      <c r="C25" s="43">
        <f>84000</f>
        <v>84000</v>
      </c>
      <c r="D25" s="43">
        <v>108000</v>
      </c>
      <c r="E25" s="44">
        <v>84000</v>
      </c>
      <c r="F25" s="8">
        <v>92000</v>
      </c>
    </row>
    <row r="26" spans="1:6" ht="15" customHeight="1" x14ac:dyDescent="0.25">
      <c r="A26" s="3" t="s">
        <v>40</v>
      </c>
      <c r="B26" s="43">
        <f>603768.63</f>
        <v>603768.63</v>
      </c>
      <c r="C26" s="43">
        <f>730257.02</f>
        <v>730257.02</v>
      </c>
      <c r="D26" s="43">
        <f>594371.87</f>
        <v>594371.87</v>
      </c>
      <c r="E26" s="44">
        <v>759852.92</v>
      </c>
      <c r="F26" s="8">
        <v>414174.7</v>
      </c>
    </row>
    <row r="27" spans="1:6" ht="15" customHeight="1" x14ac:dyDescent="0.25">
      <c r="A27" s="3" t="s">
        <v>50</v>
      </c>
      <c r="B27" s="43">
        <v>17000</v>
      </c>
      <c r="C27" s="43"/>
      <c r="D27" s="43">
        <v>17000</v>
      </c>
      <c r="E27" s="44">
        <v>17000</v>
      </c>
      <c r="F27" s="8">
        <v>17000</v>
      </c>
    </row>
    <row r="28" spans="1:6" ht="15" customHeight="1" x14ac:dyDescent="0.25">
      <c r="A28" s="3" t="s">
        <v>51</v>
      </c>
      <c r="B28" s="43">
        <f>68251.73</f>
        <v>68251.73</v>
      </c>
      <c r="C28" s="43"/>
      <c r="D28" s="43">
        <v>68251.73</v>
      </c>
      <c r="E28" s="44">
        <v>68251.73</v>
      </c>
      <c r="F28" s="8">
        <v>68251.73</v>
      </c>
    </row>
    <row r="29" spans="1:6" ht="15" customHeight="1" x14ac:dyDescent="0.25">
      <c r="A29" s="3" t="s">
        <v>52</v>
      </c>
      <c r="B29" s="43">
        <v>3300</v>
      </c>
      <c r="C29" s="43"/>
      <c r="D29" s="43">
        <v>3300</v>
      </c>
      <c r="E29" s="44"/>
      <c r="F29" s="8"/>
    </row>
    <row r="30" spans="1:6" ht="15" customHeight="1" x14ac:dyDescent="0.25">
      <c r="A30" s="3" t="s">
        <v>53</v>
      </c>
      <c r="B30" s="43">
        <f>6657.6</f>
        <v>6657.6</v>
      </c>
      <c r="C30" s="43"/>
      <c r="D30" s="43">
        <v>7100.4</v>
      </c>
      <c r="E30" s="44">
        <v>7100.4</v>
      </c>
      <c r="F30" s="8">
        <v>7100.4</v>
      </c>
    </row>
    <row r="31" spans="1:6" ht="15" customHeight="1" x14ac:dyDescent="0.25">
      <c r="A31" s="6" t="s">
        <v>23</v>
      </c>
      <c r="B31" s="45">
        <f>295266</f>
        <v>295266</v>
      </c>
      <c r="C31" s="45">
        <f>229711</f>
        <v>229711</v>
      </c>
      <c r="D31" s="45">
        <f>259646</f>
        <v>259646</v>
      </c>
      <c r="E31" s="46">
        <v>190997</v>
      </c>
      <c r="F31" s="10">
        <v>175772</v>
      </c>
    </row>
    <row r="32" spans="1:6" ht="15" customHeight="1" x14ac:dyDescent="0.25">
      <c r="A32" s="6" t="s">
        <v>24</v>
      </c>
      <c r="B32" s="45">
        <f>55935</f>
        <v>55935</v>
      </c>
      <c r="C32" s="7"/>
      <c r="D32" s="7"/>
      <c r="E32" s="12"/>
      <c r="F32" s="45"/>
    </row>
    <row r="33" spans="1:6" ht="15" customHeight="1" x14ac:dyDescent="0.25">
      <c r="A33" s="6" t="s">
        <v>25</v>
      </c>
      <c r="B33" s="45">
        <f>252196.34</f>
        <v>252196.34</v>
      </c>
      <c r="C33" s="45">
        <f>184136.36</f>
        <v>184136.36</v>
      </c>
      <c r="D33" s="45">
        <f>254722.93</f>
        <v>254722.93</v>
      </c>
      <c r="E33" s="46">
        <v>32132.560000000001</v>
      </c>
      <c r="F33" s="45">
        <v>79543.95</v>
      </c>
    </row>
    <row r="34" spans="1:6" ht="15" customHeight="1" thickBot="1" x14ac:dyDescent="0.3">
      <c r="A34" s="5" t="s">
        <v>14</v>
      </c>
      <c r="B34" s="30">
        <f>B22+B31+B32+B33</f>
        <v>1818375.3</v>
      </c>
      <c r="C34" s="30">
        <f>C22+C31+C32+C33</f>
        <v>1228104.3799999999</v>
      </c>
      <c r="D34" s="30">
        <f>D22+D31+D32+D33</f>
        <v>1732392.93</v>
      </c>
      <c r="E34" s="31">
        <f>E22+E31+E32+E33</f>
        <v>1589334.6099999999</v>
      </c>
      <c r="F34" s="30">
        <f>F22+F31+F32+F33</f>
        <v>1273842.78</v>
      </c>
    </row>
    <row r="35" spans="1:6" ht="15" customHeight="1" x14ac:dyDescent="0.25">
      <c r="A35" s="65" t="s">
        <v>42</v>
      </c>
      <c r="B35" s="47" t="s">
        <v>47</v>
      </c>
      <c r="C35" s="47" t="s">
        <v>48</v>
      </c>
      <c r="D35" s="47" t="s">
        <v>1</v>
      </c>
      <c r="E35" s="48" t="s">
        <v>2</v>
      </c>
      <c r="F35" s="49" t="s">
        <v>3</v>
      </c>
    </row>
    <row r="36" spans="1:6" ht="15" customHeight="1" x14ac:dyDescent="0.25">
      <c r="A36" s="66" t="s">
        <v>43</v>
      </c>
      <c r="B36" s="23">
        <v>1952757.6</v>
      </c>
      <c r="C36" s="23">
        <f>1994817</f>
        <v>1994817</v>
      </c>
      <c r="D36" s="23">
        <f>2001101.6</f>
        <v>2001101.6</v>
      </c>
      <c r="E36" s="23">
        <v>2001101.6</v>
      </c>
      <c r="F36" s="24">
        <v>2007721.6</v>
      </c>
    </row>
    <row r="37" spans="1:6" ht="15" customHeight="1" x14ac:dyDescent="0.25">
      <c r="A37" s="66" t="s">
        <v>44</v>
      </c>
      <c r="B37" s="23">
        <v>506483</v>
      </c>
      <c r="C37" s="23">
        <v>464968</v>
      </c>
      <c r="D37" s="23">
        <f>456665</f>
        <v>456665</v>
      </c>
      <c r="E37" s="23">
        <v>456665</v>
      </c>
      <c r="F37" s="25">
        <v>448362</v>
      </c>
    </row>
    <row r="38" spans="1:6" ht="15" customHeight="1" x14ac:dyDescent="0.25">
      <c r="A38" s="66" t="s">
        <v>45</v>
      </c>
      <c r="B38" s="23">
        <v>540780.37</v>
      </c>
      <c r="C38" s="23">
        <v>730257.02</v>
      </c>
      <c r="D38" s="23">
        <f>594371.87</f>
        <v>594371.87</v>
      </c>
      <c r="E38" s="23">
        <v>485701.69</v>
      </c>
      <c r="F38" s="25">
        <v>386452.78</v>
      </c>
    </row>
    <row r="39" spans="1:6" ht="15" customHeight="1" x14ac:dyDescent="0.25">
      <c r="A39" s="66" t="s">
        <v>29</v>
      </c>
      <c r="B39" s="23">
        <v>19600</v>
      </c>
      <c r="C39" s="23">
        <v>97650</v>
      </c>
      <c r="D39" s="23">
        <f>12700</f>
        <v>12700</v>
      </c>
      <c r="E39" s="23">
        <v>8850</v>
      </c>
      <c r="F39" s="25">
        <v>13000</v>
      </c>
    </row>
    <row r="40" spans="1:6" ht="15" customHeight="1" x14ac:dyDescent="0.25">
      <c r="A40" s="66" t="s">
        <v>46</v>
      </c>
      <c r="B40" s="23">
        <f>SUM(B36:B39)</f>
        <v>3019620.97</v>
      </c>
      <c r="C40" s="23">
        <f>SUM(C36:C39)</f>
        <v>3287692.02</v>
      </c>
      <c r="D40" s="23">
        <f>SUM(D36:D39)</f>
        <v>3064838.47</v>
      </c>
      <c r="E40" s="23">
        <f>SUM(E36:E39)</f>
        <v>2952318.29</v>
      </c>
      <c r="F40" s="25">
        <f>SUM(F36:F39)</f>
        <v>2855536.38</v>
      </c>
    </row>
    <row r="41" spans="1:6" ht="15" customHeight="1" thickBot="1" x14ac:dyDescent="0.3">
      <c r="A41" s="67" t="s">
        <v>36</v>
      </c>
      <c r="B41" s="50"/>
      <c r="C41" s="50"/>
      <c r="D41" s="51"/>
      <c r="E41" s="52"/>
      <c r="F41" s="53"/>
    </row>
    <row r="42" spans="1:6" ht="15" customHeight="1" thickBot="1" x14ac:dyDescent="0.3">
      <c r="A42" s="62" t="s">
        <v>30</v>
      </c>
      <c r="B42" s="54">
        <f>4591079.15</f>
        <v>4591079.1500000004</v>
      </c>
      <c r="C42" s="54">
        <f>B42+B44-B78</f>
        <v>4799757.620000001</v>
      </c>
      <c r="D42" s="54">
        <f>C42+C44-C78</f>
        <v>5143846.4800000004</v>
      </c>
      <c r="E42" s="54">
        <f>D42+D44-D78</f>
        <v>5560106.3900000006</v>
      </c>
      <c r="F42" s="55">
        <f>E42+E44-E78</f>
        <v>6085334.7800000012</v>
      </c>
    </row>
    <row r="43" spans="1:6" ht="15" customHeight="1" thickBot="1" x14ac:dyDescent="0.3">
      <c r="A43" s="62" t="s">
        <v>0</v>
      </c>
      <c r="B43" s="27" t="s">
        <v>47</v>
      </c>
      <c r="C43" s="27" t="s">
        <v>48</v>
      </c>
      <c r="D43" s="27" t="s">
        <v>1</v>
      </c>
      <c r="E43" s="28" t="s">
        <v>2</v>
      </c>
      <c r="F43" s="29" t="s">
        <v>3</v>
      </c>
    </row>
    <row r="44" spans="1:6" ht="15" customHeight="1" x14ac:dyDescent="0.25">
      <c r="A44" s="17" t="s">
        <v>26</v>
      </c>
      <c r="B44" s="18">
        <f>SUM(B46:B49)</f>
        <v>2702577.56</v>
      </c>
      <c r="C44" s="18">
        <f t="shared" ref="C44:E44" si="2">SUM(C46:C49)</f>
        <v>2855525.26</v>
      </c>
      <c r="D44" s="18">
        <f>SUM(D46:D49)</f>
        <v>2205880.42</v>
      </c>
      <c r="E44" s="19">
        <f>SUM(E45:E49)</f>
        <v>2771182.98</v>
      </c>
      <c r="F44" s="18">
        <f>SUM(F45:F49)</f>
        <v>3049516.43</v>
      </c>
    </row>
    <row r="45" spans="1:6" ht="15" customHeight="1" x14ac:dyDescent="0.25">
      <c r="A45" s="15" t="s">
        <v>58</v>
      </c>
      <c r="B45" s="10"/>
      <c r="C45" s="10"/>
      <c r="D45" s="10"/>
      <c r="E45" s="69">
        <v>87320</v>
      </c>
      <c r="F45" s="9">
        <v>26615</v>
      </c>
    </row>
    <row r="46" spans="1:6" ht="15" customHeight="1" x14ac:dyDescent="0.25">
      <c r="A46" s="3" t="s">
        <v>27</v>
      </c>
      <c r="B46" s="8">
        <f>1255218+114340+435593.92</f>
        <v>1805151.92</v>
      </c>
      <c r="C46" s="8">
        <f>2114467.32</f>
        <v>2114467.3199999998</v>
      </c>
      <c r="D46" s="8">
        <f>2193180.42-414432.6</f>
        <v>1778747.8199999998</v>
      </c>
      <c r="E46" s="11">
        <v>1987446.78</v>
      </c>
      <c r="F46" s="8">
        <v>1857970</v>
      </c>
    </row>
    <row r="47" spans="1:6" ht="15" customHeight="1" x14ac:dyDescent="0.25">
      <c r="A47" s="3" t="s">
        <v>28</v>
      </c>
      <c r="B47" s="8">
        <f>877675.64</f>
        <v>877675.64</v>
      </c>
      <c r="C47" s="8">
        <f>643407.94</f>
        <v>643407.93999999994</v>
      </c>
      <c r="D47" s="8">
        <f>414432.6</f>
        <v>414432.6</v>
      </c>
      <c r="E47" s="11">
        <f>769886.2-87320</f>
        <v>682566.2</v>
      </c>
      <c r="F47" s="8">
        <f>966431.43+180500</f>
        <v>1146931.4300000002</v>
      </c>
    </row>
    <row r="48" spans="1:6" ht="15" customHeight="1" x14ac:dyDescent="0.25">
      <c r="A48" s="3" t="s">
        <v>4</v>
      </c>
      <c r="B48" s="8"/>
      <c r="C48" s="8"/>
      <c r="D48" s="8"/>
      <c r="E48" s="11"/>
      <c r="F48" s="8"/>
    </row>
    <row r="49" spans="1:6" ht="15" customHeight="1" thickBot="1" x14ac:dyDescent="0.3">
      <c r="A49" s="5" t="s">
        <v>29</v>
      </c>
      <c r="B49" s="56">
        <f>19750</f>
        <v>19750</v>
      </c>
      <c r="C49" s="56">
        <f>97650</f>
        <v>97650</v>
      </c>
      <c r="D49" s="56">
        <f>12700</f>
        <v>12700</v>
      </c>
      <c r="E49" s="13">
        <v>13850</v>
      </c>
      <c r="F49" s="56">
        <v>18000</v>
      </c>
    </row>
    <row r="50" spans="1:6" ht="15" customHeight="1" thickBot="1" x14ac:dyDescent="0.3">
      <c r="A50" s="62" t="s">
        <v>5</v>
      </c>
      <c r="B50" s="57"/>
      <c r="C50" s="57"/>
      <c r="D50" s="57"/>
      <c r="E50" s="28"/>
      <c r="F50" s="58"/>
    </row>
    <row r="51" spans="1:6" ht="15" customHeight="1" x14ac:dyDescent="0.25">
      <c r="A51" s="22" t="s">
        <v>73</v>
      </c>
      <c r="B51" s="40">
        <v>420000</v>
      </c>
      <c r="C51" s="40">
        <f>840000</f>
        <v>840000</v>
      </c>
      <c r="D51" s="40"/>
      <c r="E51" s="26">
        <v>420000</v>
      </c>
      <c r="F51" s="40">
        <f>420000+10000</f>
        <v>430000</v>
      </c>
    </row>
    <row r="52" spans="1:6" ht="15" customHeight="1" x14ac:dyDescent="0.25">
      <c r="A52" s="3" t="s">
        <v>6</v>
      </c>
      <c r="B52" s="8">
        <v>3907.79</v>
      </c>
      <c r="C52" s="8">
        <v>4174</v>
      </c>
      <c r="D52" s="8">
        <f>6745.56+4190</f>
        <v>10935.560000000001</v>
      </c>
      <c r="E52" s="14">
        <v>6024.73</v>
      </c>
      <c r="F52" s="8">
        <v>5855</v>
      </c>
    </row>
    <row r="53" spans="1:6" ht="15" customHeight="1" x14ac:dyDescent="0.25">
      <c r="A53" s="3" t="s">
        <v>70</v>
      </c>
      <c r="B53" s="8"/>
      <c r="C53" s="8"/>
      <c r="D53" s="8"/>
      <c r="E53" s="14"/>
      <c r="F53" s="8">
        <v>50000</v>
      </c>
    </row>
    <row r="54" spans="1:6" ht="15" customHeight="1" x14ac:dyDescent="0.25">
      <c r="A54" s="3" t="s">
        <v>7</v>
      </c>
      <c r="B54" s="8">
        <f>116000</f>
        <v>116000</v>
      </c>
      <c r="C54" s="8">
        <f>96000</f>
        <v>96000</v>
      </c>
      <c r="D54" s="8">
        <f>84000</f>
        <v>84000</v>
      </c>
      <c r="E54" s="14">
        <v>108000</v>
      </c>
      <c r="F54" s="8">
        <f>84000</f>
        <v>84000</v>
      </c>
    </row>
    <row r="55" spans="1:6" ht="15" customHeight="1" x14ac:dyDescent="0.25">
      <c r="A55" s="3" t="s">
        <v>8</v>
      </c>
      <c r="B55" s="8">
        <v>461197.86</v>
      </c>
      <c r="C55" s="8">
        <f>541927.38</f>
        <v>541927.38</v>
      </c>
      <c r="D55" s="8">
        <f>730257.02</f>
        <v>730257.02</v>
      </c>
      <c r="E55" s="14">
        <v>594371.87</v>
      </c>
      <c r="F55" s="8">
        <v>759852.92</v>
      </c>
    </row>
    <row r="56" spans="1:6" ht="15" customHeight="1" x14ac:dyDescent="0.25">
      <c r="A56" s="3" t="s">
        <v>55</v>
      </c>
      <c r="B56" s="8">
        <f>136503.46</f>
        <v>136503.46</v>
      </c>
      <c r="C56" s="8">
        <f>68251.73</f>
        <v>68251.73</v>
      </c>
      <c r="D56" s="8"/>
      <c r="E56" s="14">
        <v>68251.73</v>
      </c>
      <c r="F56" s="8">
        <v>68251.73</v>
      </c>
    </row>
    <row r="57" spans="1:6" ht="15" customHeight="1" x14ac:dyDescent="0.25">
      <c r="A57" s="3" t="s">
        <v>56</v>
      </c>
      <c r="B57" s="8">
        <v>34000</v>
      </c>
      <c r="C57" s="8">
        <v>34000</v>
      </c>
      <c r="D57" s="8">
        <f>17000</f>
        <v>17000</v>
      </c>
      <c r="E57" s="14"/>
      <c r="F57" s="8">
        <v>17000</v>
      </c>
    </row>
    <row r="58" spans="1:6" ht="15" customHeight="1" x14ac:dyDescent="0.25">
      <c r="A58" s="4" t="s">
        <v>59</v>
      </c>
      <c r="B58" s="8"/>
      <c r="C58" s="8">
        <v>6600</v>
      </c>
      <c r="D58" s="8"/>
      <c r="E58" s="14">
        <v>6600</v>
      </c>
      <c r="F58" s="8">
        <f>3300+3300</f>
        <v>6600</v>
      </c>
    </row>
    <row r="59" spans="1:6" ht="15" customHeight="1" x14ac:dyDescent="0.25">
      <c r="A59" s="4" t="s">
        <v>60</v>
      </c>
      <c r="B59" s="8"/>
      <c r="C59" s="8">
        <v>19972.8</v>
      </c>
      <c r="D59" s="8">
        <f>7100.4</f>
        <v>7100.4</v>
      </c>
      <c r="E59" s="14"/>
      <c r="F59" s="8">
        <v>7100.4</v>
      </c>
    </row>
    <row r="60" spans="1:6" ht="15" customHeight="1" x14ac:dyDescent="0.25">
      <c r="A60" s="3" t="s">
        <v>9</v>
      </c>
      <c r="B60" s="8"/>
      <c r="C60" s="8"/>
      <c r="D60" s="8"/>
      <c r="E60" s="14">
        <v>19194</v>
      </c>
      <c r="F60" s="8"/>
    </row>
    <row r="61" spans="1:6" ht="15" customHeight="1" x14ac:dyDescent="0.25">
      <c r="A61" s="3" t="s">
        <v>54</v>
      </c>
      <c r="B61" s="8">
        <f>482743.54</f>
        <v>482743.54</v>
      </c>
      <c r="C61" s="8">
        <f>571471</f>
        <v>571471</v>
      </c>
      <c r="D61" s="8">
        <f>517843</f>
        <v>517843</v>
      </c>
      <c r="E61" s="14">
        <v>549143</v>
      </c>
      <c r="F61" s="8">
        <v>520237</v>
      </c>
    </row>
    <row r="62" spans="1:6" ht="15" customHeight="1" x14ac:dyDescent="0.25">
      <c r="A62" s="3" t="s">
        <v>12</v>
      </c>
      <c r="B62" s="8">
        <f>241522.23</f>
        <v>241522.23</v>
      </c>
      <c r="C62" s="8">
        <f>257287.24</f>
        <v>257287.24</v>
      </c>
      <c r="D62" s="8">
        <f>263400.35</f>
        <v>263400.34999999998</v>
      </c>
      <c r="E62" s="14">
        <v>272205.26</v>
      </c>
      <c r="F62" s="8">
        <v>168055</v>
      </c>
    </row>
    <row r="63" spans="1:6" ht="15" customHeight="1" x14ac:dyDescent="0.25">
      <c r="A63" s="3" t="s">
        <v>11</v>
      </c>
      <c r="B63" s="8"/>
      <c r="C63" s="8"/>
      <c r="D63" s="8"/>
      <c r="E63" s="14"/>
      <c r="F63" s="8"/>
    </row>
    <row r="64" spans="1:6" ht="15" customHeight="1" x14ac:dyDescent="0.25">
      <c r="A64" s="3" t="s">
        <v>10</v>
      </c>
      <c r="B64" s="8">
        <v>3100</v>
      </c>
      <c r="C64" s="8">
        <f>3100</f>
        <v>3100</v>
      </c>
      <c r="D64" s="8">
        <v>3100</v>
      </c>
      <c r="E64" s="14">
        <v>3000</v>
      </c>
      <c r="F64" s="8">
        <v>3100</v>
      </c>
    </row>
    <row r="65" spans="1:6" ht="15" customHeight="1" x14ac:dyDescent="0.25">
      <c r="A65" s="3" t="s">
        <v>31</v>
      </c>
      <c r="B65" s="8">
        <f>14860</f>
        <v>14860</v>
      </c>
      <c r="C65" s="8"/>
      <c r="D65" s="8">
        <f>60000</f>
        <v>60000</v>
      </c>
      <c r="E65" s="14"/>
      <c r="F65" s="8"/>
    </row>
    <row r="66" spans="1:6" ht="15" customHeight="1" x14ac:dyDescent="0.25">
      <c r="A66" s="3" t="s">
        <v>32</v>
      </c>
      <c r="B66" s="8"/>
      <c r="C66" s="8"/>
      <c r="D66" s="8"/>
      <c r="E66" s="14"/>
      <c r="F66" s="8"/>
    </row>
    <row r="67" spans="1:6" ht="15" customHeight="1" x14ac:dyDescent="0.25">
      <c r="A67" s="3" t="s">
        <v>33</v>
      </c>
      <c r="B67" s="8">
        <f>94925+4360.21+15235+4194+400000</f>
        <v>518714.21</v>
      </c>
      <c r="C67" s="8">
        <f>26540.45+6111.8</f>
        <v>32652.25</v>
      </c>
      <c r="D67" s="8">
        <f>80409.24</f>
        <v>80409.240000000005</v>
      </c>
      <c r="E67" s="11"/>
      <c r="F67" s="8">
        <v>22999.74</v>
      </c>
    </row>
    <row r="68" spans="1:6" ht="15" customHeight="1" x14ac:dyDescent="0.25">
      <c r="A68" s="3" t="s">
        <v>34</v>
      </c>
      <c r="B68" s="8"/>
      <c r="C68" s="8"/>
      <c r="D68" s="8"/>
      <c r="E68" s="11"/>
      <c r="F68" s="8"/>
    </row>
    <row r="69" spans="1:6" ht="15" customHeight="1" x14ac:dyDescent="0.25">
      <c r="A69" s="3" t="s">
        <v>67</v>
      </c>
      <c r="B69" s="8"/>
      <c r="C69" s="8"/>
      <c r="D69" s="8"/>
      <c r="E69" s="11"/>
      <c r="F69" s="8">
        <f>13496.83+26916.81</f>
        <v>40413.64</v>
      </c>
    </row>
    <row r="70" spans="1:6" ht="15" customHeight="1" x14ac:dyDescent="0.25">
      <c r="A70" s="3" t="s">
        <v>13</v>
      </c>
      <c r="B70" s="8"/>
      <c r="C70" s="8"/>
      <c r="D70" s="8"/>
      <c r="E70" s="11">
        <v>48950</v>
      </c>
      <c r="F70" s="8">
        <v>60000</v>
      </c>
    </row>
    <row r="71" spans="1:6" ht="15" customHeight="1" x14ac:dyDescent="0.25">
      <c r="A71" s="3" t="s">
        <v>74</v>
      </c>
      <c r="B71" s="8">
        <f>45000</f>
        <v>45000</v>
      </c>
      <c r="C71" s="8"/>
      <c r="D71" s="8"/>
      <c r="E71" s="11"/>
      <c r="F71" s="8">
        <v>26000</v>
      </c>
    </row>
    <row r="72" spans="1:6" ht="15" customHeight="1" x14ac:dyDescent="0.25">
      <c r="A72" s="3" t="s">
        <v>35</v>
      </c>
      <c r="B72" s="8">
        <f>10000+6350</f>
        <v>16350</v>
      </c>
      <c r="C72" s="8">
        <f>34000</f>
        <v>34000</v>
      </c>
      <c r="D72" s="8"/>
      <c r="E72" s="11"/>
      <c r="F72" s="8"/>
    </row>
    <row r="73" spans="1:6" ht="15" customHeight="1" x14ac:dyDescent="0.25">
      <c r="A73" s="3" t="s">
        <v>66</v>
      </c>
      <c r="B73" s="8"/>
      <c r="C73" s="8"/>
      <c r="D73" s="8"/>
      <c r="E73" s="11">
        <v>140099</v>
      </c>
      <c r="F73" s="8"/>
    </row>
    <row r="74" spans="1:6" ht="15" customHeight="1" x14ac:dyDescent="0.25">
      <c r="A74" s="3" t="s">
        <v>68</v>
      </c>
      <c r="B74" s="8"/>
      <c r="C74" s="8"/>
      <c r="D74" s="8"/>
      <c r="E74" s="11"/>
      <c r="F74" s="8">
        <v>4000</v>
      </c>
    </row>
    <row r="75" spans="1:6" ht="15" customHeight="1" x14ac:dyDescent="0.25">
      <c r="A75" s="3" t="s">
        <v>62</v>
      </c>
      <c r="B75" s="8"/>
      <c r="C75" s="8">
        <v>2000</v>
      </c>
      <c r="D75" s="8"/>
      <c r="E75" s="11"/>
      <c r="F75" s="8"/>
    </row>
    <row r="76" spans="1:6" ht="15" customHeight="1" x14ac:dyDescent="0.25">
      <c r="A76" s="3" t="s">
        <v>69</v>
      </c>
      <c r="B76" s="8"/>
      <c r="C76" s="8"/>
      <c r="D76" s="8"/>
      <c r="E76" s="11"/>
      <c r="F76" s="8">
        <v>8645</v>
      </c>
    </row>
    <row r="77" spans="1:6" ht="15" customHeight="1" thickBot="1" x14ac:dyDescent="0.3">
      <c r="A77" s="5" t="s">
        <v>64</v>
      </c>
      <c r="B77" s="56"/>
      <c r="C77" s="56"/>
      <c r="D77" s="56">
        <f>10574.94+1700+3300</f>
        <v>15574.94</v>
      </c>
      <c r="E77" s="13">
        <v>10115</v>
      </c>
      <c r="F77" s="56">
        <v>4533.07</v>
      </c>
    </row>
    <row r="78" spans="1:6" ht="15" customHeight="1" thickBot="1" x14ac:dyDescent="0.3">
      <c r="A78" s="68" t="s">
        <v>14</v>
      </c>
      <c r="B78" s="32">
        <f>SUM(B51:B72)</f>
        <v>2493899.0900000003</v>
      </c>
      <c r="C78" s="32">
        <f>SUM(C51:C75)</f>
        <v>2511436.4000000004</v>
      </c>
      <c r="D78" s="32">
        <f>SUM(D51:D77)</f>
        <v>1789620.51</v>
      </c>
      <c r="E78" s="33">
        <f>SUM(E51:E77)</f>
        <v>2245954.59</v>
      </c>
      <c r="F78" s="34">
        <f>SUM(F51:F77)</f>
        <v>2286643.5</v>
      </c>
    </row>
    <row r="79" spans="1:6" x14ac:dyDescent="0.25">
      <c r="F79" s="61"/>
    </row>
    <row r="81" spans="6:6" x14ac:dyDescent="0.25">
      <c r="F81" s="61"/>
    </row>
  </sheetData>
  <pageMargins left="0" right="0" top="0" bottom="0" header="0.51181102362204722" footer="0.51181102362204722"/>
  <pageSetup paperSize="9" scale="70" firstPageNumber="0" fitToHeight="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3" sqref="A3"/>
    </sheetView>
  </sheetViews>
  <sheetFormatPr defaultRowHeight="15" x14ac:dyDescent="0.25"/>
  <cols>
    <col min="1" max="1" width="9.140625" customWidth="1"/>
  </cols>
  <sheetData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17" sqref="C17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фин.отчет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</dc:creator>
  <cp:lastModifiedBy>Елизавета</cp:lastModifiedBy>
  <cp:revision>0</cp:revision>
  <cp:lastPrinted>2016-04-30T09:41:45Z</cp:lastPrinted>
  <dcterms:created xsi:type="dcterms:W3CDTF">2006-09-16T00:00:00Z</dcterms:created>
  <dcterms:modified xsi:type="dcterms:W3CDTF">2016-04-30T10:02:34Z</dcterms:modified>
</cp:coreProperties>
</file>